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我的資料夾\Desktop\會計報告(月報、季報、半年報、午餐收支結算表)112.7.16\午餐收支結算表、相關規定\112\"/>
    </mc:Choice>
  </mc:AlternateContent>
  <bookViews>
    <workbookView xWindow="0" yWindow="0" windowWidth="14380" windowHeight="4040"/>
  </bookViews>
  <sheets>
    <sheet name="112上-自設廚房及共廚學校" sheetId="1" r:id="rId1"/>
  </sheets>
  <definedNames>
    <definedName name="_xlnm.Print_Area" localSheetId="0">'112上-自設廚房及共廚學校'!$A$1:$AJ$16</definedName>
    <definedName name="Z_850D74B6_5901_45D9_85CE_0EFA880AFE45_.wvu.PrintArea" localSheetId="0" hidden="1">'112上-自設廚房及共廚學校'!$A$1:$AJ$15</definedName>
  </definedNames>
  <calcPr calcId="162913"/>
  <customWorkbookViews>
    <customWorkbookView name="angel - 個人檢視畫面" guid="{850D74B6-5901-45D9-85CE-0EFA880AFE45}" mergeInterval="0" personalView="1" maximized="1" windowWidth="1916" windowHeight="841" activeSheetId="1"/>
  </customWorkbookViews>
</workbook>
</file>

<file path=xl/calcChain.xml><?xml version="1.0" encoding="utf-8"?>
<calcChain xmlns="http://schemas.openxmlformats.org/spreadsheetml/2006/main">
  <c r="I4" i="1" l="1"/>
  <c r="C4" i="1"/>
  <c r="R4" i="1" l="1"/>
  <c r="AB4" i="1"/>
  <c r="AB6" i="1"/>
  <c r="AG7" i="1" l="1"/>
  <c r="AC9" i="1"/>
  <c r="AC5" i="1"/>
  <c r="S9" i="1"/>
  <c r="N9" i="1"/>
  <c r="Z9" i="1"/>
  <c r="M9" i="1"/>
  <c r="AF9" i="1"/>
  <c r="AF8" i="1"/>
  <c r="J8" i="1"/>
  <c r="D8" i="1"/>
  <c r="P8" i="1"/>
  <c r="S8" i="1"/>
  <c r="Y8" i="1"/>
  <c r="I7" i="1"/>
  <c r="H7" i="1"/>
  <c r="G7" i="1"/>
  <c r="F7" i="1"/>
  <c r="J7" i="1"/>
  <c r="AF7" i="1"/>
  <c r="D7" i="1"/>
  <c r="X6" i="1"/>
  <c r="X5" i="1"/>
  <c r="AC6" i="1"/>
  <c r="J6" i="1"/>
  <c r="S6" i="1"/>
  <c r="W6" i="1"/>
  <c r="V6" i="1"/>
  <c r="U6" i="1"/>
  <c r="T6" i="1"/>
  <c r="AF6" i="1"/>
  <c r="D6" i="1"/>
  <c r="AE5" i="1"/>
  <c r="AB5" i="1"/>
  <c r="AF5" i="1"/>
  <c r="J5" i="1"/>
  <c r="N5" i="1"/>
  <c r="Z5" i="1"/>
  <c r="W5" i="1"/>
  <c r="S5" i="1"/>
  <c r="V5" i="1"/>
  <c r="U5" i="1"/>
  <c r="T5" i="1"/>
  <c r="D5" i="1"/>
  <c r="M5" i="1"/>
  <c r="J4" i="1"/>
  <c r="D4" i="1"/>
  <c r="AC4" i="1"/>
  <c r="N4" i="1"/>
  <c r="AF4" i="1"/>
  <c r="V10" i="1" l="1"/>
  <c r="W10" i="1"/>
  <c r="X10" i="1"/>
  <c r="Y10" i="1"/>
  <c r="Z10" i="1"/>
  <c r="AA10" i="1"/>
  <c r="AB10" i="1"/>
  <c r="AC10" i="1"/>
  <c r="AD10" i="1"/>
  <c r="AE10" i="1"/>
  <c r="AF10" i="1"/>
  <c r="AG10" i="1"/>
  <c r="AI4" i="1"/>
  <c r="Q4" i="1"/>
  <c r="L10" i="1"/>
  <c r="AJ4" i="1" l="1"/>
  <c r="O10" i="1"/>
  <c r="AI9" i="1" l="1"/>
  <c r="F10" i="1"/>
  <c r="G10" i="1"/>
  <c r="H10" i="1"/>
  <c r="I10" i="1"/>
  <c r="J10" i="1"/>
  <c r="K10" i="1"/>
  <c r="M10" i="1"/>
  <c r="N10" i="1"/>
  <c r="D10" i="1" l="1"/>
  <c r="C5" i="1" l="1"/>
  <c r="Q5" i="1" s="1"/>
  <c r="AI8" i="1"/>
  <c r="AI6" i="1" l="1"/>
  <c r="AI7" i="1"/>
  <c r="AI5" i="1"/>
  <c r="AI10" i="1" l="1"/>
  <c r="P10" i="1"/>
  <c r="AH10" i="1"/>
  <c r="S10" i="1"/>
  <c r="T10" i="1"/>
  <c r="R10" i="1"/>
  <c r="U10" i="1"/>
  <c r="E10" i="1"/>
  <c r="AJ5" i="1" l="1"/>
  <c r="C6" i="1" s="1"/>
  <c r="Q6" i="1" l="1"/>
  <c r="AJ6" i="1" l="1"/>
  <c r="C7" i="1" s="1"/>
  <c r="Q7" i="1" s="1"/>
  <c r="AJ7" i="1" s="1"/>
  <c r="C8" i="1" s="1"/>
  <c r="Q8" i="1" s="1"/>
  <c r="AJ8" i="1" s="1"/>
  <c r="C9" i="1" s="1"/>
  <c r="Q9" i="1" s="1"/>
  <c r="Q10" i="1" l="1"/>
  <c r="AJ9" i="1"/>
  <c r="D11" i="1" s="1"/>
</calcChain>
</file>

<file path=xl/sharedStrings.xml><?xml version="1.0" encoding="utf-8"?>
<sst xmlns="http://schemas.openxmlformats.org/spreadsheetml/2006/main" count="47" uniqueCount="46">
  <si>
    <t>本月午餐費</t>
  </si>
  <si>
    <t>主食</t>
  </si>
  <si>
    <t>菜金</t>
  </si>
  <si>
    <t>雜支</t>
  </si>
  <si>
    <t>收                               入                               部                             份</t>
    <phoneticPr fontId="4" type="noConversion"/>
  </si>
  <si>
    <t xml:space="preserve">支                           出                            </t>
    <phoneticPr fontId="4" type="noConversion"/>
  </si>
  <si>
    <r>
      <t xml:space="preserve">結      </t>
    </r>
    <r>
      <rPr>
        <sz val="6"/>
        <rFont val="標楷體"/>
        <family val="4"/>
        <charset val="136"/>
      </rPr>
      <t xml:space="preserve"> </t>
    </r>
    <r>
      <rPr>
        <sz val="12"/>
        <rFont val="標楷體"/>
        <family val="4"/>
        <charset val="136"/>
      </rPr>
      <t>餘</t>
    </r>
    <phoneticPr fontId="4" type="noConversion"/>
  </si>
  <si>
    <r>
      <t xml:space="preserve">合    </t>
    </r>
    <r>
      <rPr>
        <sz val="10"/>
        <rFont val="標楷體"/>
        <family val="4"/>
        <charset val="136"/>
      </rPr>
      <t xml:space="preserve">  </t>
    </r>
    <r>
      <rPr>
        <sz val="12"/>
        <rFont val="標楷體"/>
        <family val="4"/>
        <charset val="136"/>
      </rPr>
      <t>計</t>
    </r>
    <phoneticPr fontId="4" type="noConversion"/>
  </si>
  <si>
    <r>
      <t xml:space="preserve">合   </t>
    </r>
    <r>
      <rPr>
        <sz val="14"/>
        <rFont val="標楷體"/>
        <family val="4"/>
        <charset val="136"/>
      </rPr>
      <t xml:space="preserve">  </t>
    </r>
    <r>
      <rPr>
        <sz val="12"/>
        <rFont val="標楷體"/>
        <family val="4"/>
        <charset val="136"/>
      </rPr>
      <t>計</t>
    </r>
    <phoneticPr fontId="4" type="noConversion"/>
  </si>
  <si>
    <t>轉入學生午餐補助費</t>
    <phoneticPr fontId="4" type="noConversion"/>
  </si>
  <si>
    <t>燃料費(水電)</t>
    <phoneticPr fontId="4" type="noConversion"/>
  </si>
  <si>
    <t>補繳上月午餐費</t>
    <phoneticPr fontId="4" type="noConversion"/>
  </si>
  <si>
    <t>午餐退費</t>
    <phoneticPr fontId="4" type="noConversion"/>
  </si>
  <si>
    <r>
      <t>廚房設備修繕費</t>
    </r>
    <r>
      <rPr>
        <sz val="14"/>
        <rFont val="Times New Roman"/>
        <family val="1"/>
      </rPr>
      <t/>
    </r>
    <phoneticPr fontId="4" type="noConversion"/>
  </si>
  <si>
    <r>
      <t>每人每月午 餐</t>
    </r>
    <r>
      <rPr>
        <sz val="16"/>
        <rFont val="標楷體"/>
        <family val="4"/>
        <charset val="136"/>
      </rPr>
      <t xml:space="preserve"> </t>
    </r>
    <r>
      <rPr>
        <sz val="12"/>
        <rFont val="標楷體"/>
        <family val="4"/>
        <charset val="136"/>
      </rPr>
      <t>費</t>
    </r>
    <phoneticPr fontId="4" type="noConversion"/>
  </si>
  <si>
    <r>
      <t>月</t>
    </r>
    <r>
      <rPr>
        <sz val="12"/>
        <rFont val="標楷體"/>
        <family val="4"/>
        <charset val="136"/>
      </rPr>
      <t>份</t>
    </r>
    <phoneticPr fontId="4" type="noConversion"/>
  </si>
  <si>
    <t>小計</t>
    <phoneticPr fontId="4" type="noConversion"/>
  </si>
  <si>
    <r>
      <t>備註</t>
    </r>
    <r>
      <rPr>
        <sz val="12"/>
        <rFont val="Times New Roman"/>
        <family val="1"/>
      </rPr>
      <t/>
    </r>
    <phoneticPr fontId="4" type="noConversion"/>
  </si>
  <si>
    <t>廚工薪資</t>
    <phoneticPr fontId="4" type="noConversion"/>
  </si>
  <si>
    <t>其他支出</t>
    <phoneticPr fontId="4" type="noConversion"/>
  </si>
  <si>
    <r>
      <t>製表</t>
    </r>
    <r>
      <rPr>
        <sz val="12"/>
        <rFont val="標楷體"/>
        <family val="4"/>
        <charset val="136"/>
      </rPr>
      <t xml:space="preserve">                    </t>
    </r>
    <r>
      <rPr>
        <sz val="16"/>
        <rFont val="標楷體"/>
        <family val="4"/>
        <charset val="136"/>
      </rPr>
      <t>出納</t>
    </r>
    <r>
      <rPr>
        <sz val="12"/>
        <rFont val="標楷體"/>
        <family val="4"/>
        <charset val="136"/>
      </rPr>
      <t xml:space="preserve">                    </t>
    </r>
    <r>
      <rPr>
        <sz val="16"/>
        <rFont val="標楷體"/>
        <family val="4"/>
        <charset val="136"/>
      </rPr>
      <t>會計</t>
    </r>
    <r>
      <rPr>
        <sz val="12"/>
        <rFont val="標楷體"/>
        <family val="4"/>
        <charset val="136"/>
      </rPr>
      <t xml:space="preserve">                    </t>
    </r>
    <r>
      <rPr>
        <sz val="16"/>
        <rFont val="標楷體"/>
        <family val="4"/>
        <charset val="136"/>
      </rPr>
      <t>執行秘書</t>
    </r>
    <r>
      <rPr>
        <sz val="12"/>
        <rFont val="標楷體"/>
        <family val="4"/>
        <charset val="136"/>
      </rPr>
      <t xml:space="preserve">                    </t>
    </r>
    <r>
      <rPr>
        <sz val="16"/>
        <rFont val="標楷體"/>
        <family val="4"/>
        <charset val="136"/>
      </rPr>
      <t>校長　　　　 　  　　　　 　　　 　</t>
    </r>
    <phoneticPr fontId="4" type="noConversion"/>
  </si>
  <si>
    <t>結餘款</t>
    <phoneticPr fontId="4" type="noConversion"/>
  </si>
  <si>
    <t>元</t>
    <phoneticPr fontId="4" type="noConversion"/>
  </si>
  <si>
    <t xml:space="preserve">廚工退休準備金
(午餐專戶)  </t>
    <phoneticPr fontId="4" type="noConversion"/>
  </si>
  <si>
    <t>其他說明：</t>
    <phoneticPr fontId="4" type="noConversion"/>
  </si>
  <si>
    <t>調味料</t>
    <phoneticPr fontId="4" type="noConversion"/>
  </si>
  <si>
    <t>乳製品</t>
    <phoneticPr fontId="4" type="noConversion"/>
  </si>
  <si>
    <t>受供餐學校轉入午餐費</t>
    <phoneticPr fontId="4" type="noConversion"/>
  </si>
  <si>
    <t>轉入供餐學校午餐費</t>
    <phoneticPr fontId="4" type="noConversion"/>
  </si>
  <si>
    <t>轉入供餐學校基燃費</t>
    <phoneticPr fontId="4" type="noConversion"/>
  </si>
  <si>
    <t>受供餐學校轉入基燃費</t>
    <phoneticPr fontId="4" type="noConversion"/>
  </si>
  <si>
    <t>上月結存(上學期結餘款)</t>
    <phoneticPr fontId="4" type="noConversion"/>
  </si>
  <si>
    <t>繳回市府補助款</t>
    <phoneticPr fontId="4" type="noConversion"/>
  </si>
  <si>
    <t>廚工薪資補助費</t>
    <phoneticPr fontId="4" type="noConversion"/>
  </si>
  <si>
    <t>教職員工午餐補助費</t>
    <phoneticPr fontId="4" type="noConversion"/>
  </si>
  <si>
    <t>定額及教職員基燃費</t>
    <phoneticPr fontId="4" type="noConversion"/>
  </si>
  <si>
    <t>生熟食運費</t>
    <phoneticPr fontId="4" type="noConversion"/>
  </si>
  <si>
    <t>其他收入</t>
    <phoneticPr fontId="4" type="noConversion"/>
  </si>
  <si>
    <t>62元食材補助費</t>
    <phoneticPr fontId="4" type="noConversion"/>
  </si>
  <si>
    <t>62元食材支出</t>
    <phoneticPr fontId="4" type="noConversion"/>
  </si>
  <si>
    <t>水果</t>
    <phoneticPr fontId="4" type="noConversion"/>
  </si>
  <si>
    <t>弱勢學生午餐補助費</t>
    <phoneticPr fontId="4" type="noConversion"/>
  </si>
  <si>
    <t>弱勢學生基燃補助費</t>
    <phoneticPr fontId="4" type="noConversion"/>
  </si>
  <si>
    <t>定額學生午餐補助費</t>
    <phoneticPr fontId="4" type="noConversion"/>
  </si>
  <si>
    <t>食用油</t>
    <phoneticPr fontId="4" type="noConversion"/>
  </si>
  <si>
    <r>
      <t>基隆市立</t>
    </r>
    <r>
      <rPr>
        <b/>
        <sz val="17"/>
        <color rgb="FFFF0000"/>
        <rFont val="標楷體"/>
        <family val="4"/>
        <charset val="136"/>
      </rPr>
      <t>五堵國小</t>
    </r>
    <r>
      <rPr>
        <b/>
        <sz val="17"/>
        <rFont val="標楷體"/>
        <family val="4"/>
        <charset val="136"/>
      </rPr>
      <t>112學年度 第2學期 學校午餐費收支結算表-自設廚房及共廚群組學校(偏鄉央廚計畫校群)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</si>
</sst>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17" x14ac:knownFonts="1">
    <font>
      <sz val="12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14"/>
      <name val="Times New Roman"/>
      <family val="1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0"/>
      <name val="標楷體"/>
      <family val="4"/>
      <charset val="136"/>
    </font>
    <font>
      <sz val="6"/>
      <name val="標楷體"/>
      <family val="4"/>
      <charset val="136"/>
    </font>
    <font>
      <sz val="8"/>
      <name val="標楷體"/>
      <family val="4"/>
      <charset val="136"/>
    </font>
    <font>
      <sz val="7"/>
      <color indexed="8"/>
      <name val="標楷體"/>
      <family val="4"/>
      <charset val="136"/>
    </font>
    <font>
      <sz val="7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7"/>
      <name val="標楷體"/>
      <family val="4"/>
      <charset val="136"/>
    </font>
    <font>
      <b/>
      <sz val="17"/>
      <color rgb="FFFF0000"/>
      <name val="標楷體"/>
      <family val="4"/>
      <charset val="136"/>
    </font>
    <font>
      <sz val="17"/>
      <name val="新細明體"/>
      <family val="1"/>
      <charset val="136"/>
    </font>
    <font>
      <sz val="9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Font="1"/>
    <xf numFmtId="0" fontId="7" fillId="0" borderId="3" xfId="0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shrinkToFit="1"/>
    </xf>
    <xf numFmtId="176" fontId="10" fillId="0" borderId="1" xfId="0" applyNumberFormat="1" applyFont="1" applyBorder="1" applyAlignment="1">
      <alignment horizontal="center" vertical="center" shrinkToFit="1"/>
    </xf>
    <xf numFmtId="176" fontId="10" fillId="0" borderId="4" xfId="0" applyNumberFormat="1" applyFont="1" applyBorder="1" applyAlignment="1">
      <alignment horizontal="center" vertical="center" shrinkToFit="1"/>
    </xf>
    <xf numFmtId="176" fontId="10" fillId="0" borderId="5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justify" vertical="justify" textRotation="255"/>
    </xf>
    <xf numFmtId="0" fontId="5" fillId="0" borderId="0" xfId="0" applyFont="1" applyAlignment="1">
      <alignment vertical="center"/>
    </xf>
    <xf numFmtId="176" fontId="10" fillId="0" borderId="3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distributed" textRotation="255" wrapText="1"/>
    </xf>
    <xf numFmtId="0" fontId="5" fillId="0" borderId="1" xfId="0" applyFont="1" applyBorder="1" applyAlignment="1">
      <alignment horizontal="center" vertical="distributed" textRotation="255" wrapText="1"/>
    </xf>
    <xf numFmtId="0" fontId="5" fillId="0" borderId="4" xfId="0" applyFont="1" applyBorder="1" applyAlignment="1">
      <alignment horizontal="center" vertical="distributed" textRotation="255" wrapText="1"/>
    </xf>
    <xf numFmtId="0" fontId="5" fillId="0" borderId="0" xfId="0" applyFont="1" applyAlignment="1">
      <alignment horizontal="center" vertical="distributed" textRotation="255"/>
    </xf>
    <xf numFmtId="0" fontId="0" fillId="0" borderId="0" xfId="0" applyAlignment="1">
      <alignment horizontal="center" vertical="distributed" textRotation="255"/>
    </xf>
    <xf numFmtId="10" fontId="5" fillId="0" borderId="0" xfId="0" applyNumberFormat="1" applyFont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76" fontId="10" fillId="0" borderId="3" xfId="0" applyNumberFormat="1" applyFont="1" applyBorder="1" applyAlignment="1" applyProtection="1">
      <alignment horizontal="center" vertical="center" shrinkToFit="1"/>
      <protection locked="0"/>
    </xf>
    <xf numFmtId="176" fontId="10" fillId="0" borderId="1" xfId="0" applyNumberFormat="1" applyFont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distributed" textRotation="255"/>
    </xf>
    <xf numFmtId="176" fontId="11" fillId="0" borderId="1" xfId="0" applyNumberFormat="1" applyFont="1" applyFill="1" applyBorder="1" applyAlignment="1">
      <alignment horizontal="center" vertical="center" shrinkToFit="1"/>
    </xf>
    <xf numFmtId="176" fontId="10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9" fillId="0" borderId="1" xfId="0" applyNumberFormat="1" applyFont="1" applyBorder="1" applyAlignment="1">
      <alignment horizontal="center" vertical="distributed" textRotation="255" wrapText="1"/>
    </xf>
    <xf numFmtId="176" fontId="16" fillId="0" borderId="1" xfId="0" applyNumberFormat="1" applyFont="1" applyBorder="1" applyAlignment="1">
      <alignment horizontal="center" vertical="distributed" textRotation="255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/>
    <xf numFmtId="0" fontId="5" fillId="0" borderId="5" xfId="0" applyFont="1" applyBorder="1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 textRotation="255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Alignment="1" applyProtection="1">
      <alignment horizontal="left" vertical="center"/>
      <protection locked="0"/>
    </xf>
    <xf numFmtId="0" fontId="9" fillId="0" borderId="7" xfId="0" applyFont="1" applyBorder="1" applyAlignment="1">
      <alignment horizontal="center" vertical="center" wrapText="1"/>
    </xf>
    <xf numFmtId="41" fontId="5" fillId="0" borderId="7" xfId="0" applyNumberFormat="1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distributed" textRotation="255" wrapText="1"/>
    </xf>
    <xf numFmtId="0" fontId="5" fillId="0" borderId="3" xfId="0" applyFont="1" applyBorder="1" applyAlignment="1">
      <alignment horizontal="center" vertical="distributed"/>
    </xf>
    <xf numFmtId="0" fontId="5" fillId="0" borderId="2" xfId="0" applyFont="1" applyBorder="1" applyAlignment="1">
      <alignment horizontal="center" vertical="justify" wrapText="1"/>
    </xf>
    <xf numFmtId="0" fontId="0" fillId="0" borderId="3" xfId="0" applyBorder="1" applyAlignment="1">
      <alignment horizontal="center" vertical="justify"/>
    </xf>
  </cellXfs>
  <cellStyles count="1">
    <cellStyle name="一般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CJ16"/>
  <sheetViews>
    <sheetView tabSelected="1" topLeftCell="A4" zoomScale="90" zoomScaleNormal="90" workbookViewId="0">
      <selection activeCell="D11" sqref="D11:E11"/>
    </sheetView>
  </sheetViews>
  <sheetFormatPr defaultRowHeight="17" x14ac:dyDescent="0.4"/>
  <cols>
    <col min="1" max="1" width="2.90625" customWidth="1"/>
    <col min="2" max="2" width="3.6328125" customWidth="1"/>
    <col min="3" max="3" width="5.6328125" customWidth="1"/>
    <col min="4" max="16" width="5.7265625" customWidth="1"/>
    <col min="17" max="17" width="6.7265625" customWidth="1"/>
    <col min="18" max="34" width="5.7265625" customWidth="1"/>
    <col min="35" max="36" width="7.08984375" customWidth="1"/>
  </cols>
  <sheetData>
    <row r="1" spans="1:88" s="10" customFormat="1" ht="27" customHeight="1" x14ac:dyDescent="0.4">
      <c r="A1" s="34" t="s">
        <v>45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5"/>
    </row>
    <row r="2" spans="1:88" ht="16.5" customHeight="1" x14ac:dyDescent="0.4">
      <c r="A2" s="46" t="s">
        <v>15</v>
      </c>
      <c r="B2" s="48" t="s">
        <v>14</v>
      </c>
      <c r="C2" s="28" t="s">
        <v>4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  <c r="R2" s="31" t="s">
        <v>5</v>
      </c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3"/>
      <c r="AJ2" s="37" t="s">
        <v>6</v>
      </c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</row>
    <row r="3" spans="1:88" s="16" customFormat="1" ht="153" customHeight="1" x14ac:dyDescent="0.4">
      <c r="A3" s="47"/>
      <c r="B3" s="49"/>
      <c r="C3" s="26" t="s">
        <v>31</v>
      </c>
      <c r="D3" s="12" t="s">
        <v>0</v>
      </c>
      <c r="E3" s="12" t="s">
        <v>11</v>
      </c>
      <c r="F3" s="12" t="s">
        <v>41</v>
      </c>
      <c r="G3" s="12" t="s">
        <v>42</v>
      </c>
      <c r="H3" s="12" t="s">
        <v>43</v>
      </c>
      <c r="I3" s="12" t="s">
        <v>34</v>
      </c>
      <c r="J3" s="12" t="s">
        <v>35</v>
      </c>
      <c r="K3" s="12" t="s">
        <v>9</v>
      </c>
      <c r="L3" s="12" t="s">
        <v>38</v>
      </c>
      <c r="M3" s="23" t="s">
        <v>27</v>
      </c>
      <c r="N3" s="23" t="s">
        <v>30</v>
      </c>
      <c r="O3" s="23" t="s">
        <v>33</v>
      </c>
      <c r="P3" s="27" t="s">
        <v>37</v>
      </c>
      <c r="Q3" s="13" t="s">
        <v>7</v>
      </c>
      <c r="R3" s="12" t="s">
        <v>1</v>
      </c>
      <c r="S3" s="12" t="s">
        <v>2</v>
      </c>
      <c r="T3" s="12" t="s">
        <v>44</v>
      </c>
      <c r="U3" s="12" t="s">
        <v>25</v>
      </c>
      <c r="V3" s="12" t="s">
        <v>26</v>
      </c>
      <c r="W3" s="12" t="s">
        <v>40</v>
      </c>
      <c r="X3" s="12" t="s">
        <v>39</v>
      </c>
      <c r="Y3" s="12" t="s">
        <v>13</v>
      </c>
      <c r="Z3" s="12" t="s">
        <v>18</v>
      </c>
      <c r="AA3" s="12" t="s">
        <v>10</v>
      </c>
      <c r="AB3" s="12" t="s">
        <v>28</v>
      </c>
      <c r="AC3" s="12" t="s">
        <v>29</v>
      </c>
      <c r="AD3" s="12" t="s">
        <v>36</v>
      </c>
      <c r="AE3" s="12" t="s">
        <v>32</v>
      </c>
      <c r="AF3" s="12" t="s">
        <v>12</v>
      </c>
      <c r="AG3" s="12" t="s">
        <v>3</v>
      </c>
      <c r="AH3" s="13" t="s">
        <v>19</v>
      </c>
      <c r="AI3" s="14" t="s">
        <v>8</v>
      </c>
      <c r="AJ3" s="37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</row>
    <row r="4" spans="1:88" s="7" customFormat="1" ht="26.15" customHeight="1" x14ac:dyDescent="0.4">
      <c r="A4" s="2">
        <v>2</v>
      </c>
      <c r="B4" s="3">
        <v>700</v>
      </c>
      <c r="C4" s="25">
        <f>3713984-95200</f>
        <v>3618784</v>
      </c>
      <c r="D4" s="20">
        <f>328000+4352</f>
        <v>332352</v>
      </c>
      <c r="E4" s="20"/>
      <c r="F4" s="20"/>
      <c r="G4" s="20"/>
      <c r="H4" s="20"/>
      <c r="I4" s="20">
        <f>95200</f>
        <v>95200</v>
      </c>
      <c r="J4" s="20">
        <f>1200+320</f>
        <v>1520</v>
      </c>
      <c r="K4" s="20"/>
      <c r="L4" s="20"/>
      <c r="M4" s="20"/>
      <c r="N4" s="20">
        <f>125855+123000+38742+32800</f>
        <v>320397</v>
      </c>
      <c r="O4" s="20"/>
      <c r="P4" s="20"/>
      <c r="Q4" s="11">
        <f t="shared" ref="Q4:Q9" si="0">SUM(C4:P4)</f>
        <v>4368253</v>
      </c>
      <c r="R4" s="20">
        <f>23607-396</f>
        <v>23211</v>
      </c>
      <c r="S4" s="20">
        <v>164783</v>
      </c>
      <c r="T4" s="20">
        <v>1524</v>
      </c>
      <c r="U4" s="20">
        <v>16774</v>
      </c>
      <c r="V4" s="20">
        <v>101685</v>
      </c>
      <c r="W4" s="20">
        <v>89594</v>
      </c>
      <c r="X4" s="20"/>
      <c r="Y4" s="20"/>
      <c r="Z4" s="20"/>
      <c r="AA4" s="20"/>
      <c r="AB4" s="20">
        <f>8784+396</f>
        <v>9180</v>
      </c>
      <c r="AC4" s="20">
        <f>44928</f>
        <v>44928</v>
      </c>
      <c r="AD4" s="20"/>
      <c r="AE4" s="20"/>
      <c r="AF4" s="20">
        <f>460</f>
        <v>460</v>
      </c>
      <c r="AG4" s="20"/>
      <c r="AH4" s="20"/>
      <c r="AI4" s="6">
        <f>SUM(R4:AH4)</f>
        <v>452139</v>
      </c>
      <c r="AJ4" s="4">
        <f t="shared" ref="AJ4:AJ9" si="1">Q4-AI4</f>
        <v>3916114</v>
      </c>
      <c r="AL4" s="17"/>
    </row>
    <row r="5" spans="1:88" s="7" customFormat="1" ht="26.15" customHeight="1" x14ac:dyDescent="0.4">
      <c r="A5" s="2">
        <v>3</v>
      </c>
      <c r="B5" s="3">
        <v>700</v>
      </c>
      <c r="C5" s="4">
        <f>AJ4</f>
        <v>3916114</v>
      </c>
      <c r="D5" s="21">
        <f>1089650</f>
        <v>1089650</v>
      </c>
      <c r="E5" s="21"/>
      <c r="F5" s="21"/>
      <c r="G5" s="21"/>
      <c r="H5" s="21"/>
      <c r="I5" s="21"/>
      <c r="J5" s="21">
        <f>410080+109750</f>
        <v>519830</v>
      </c>
      <c r="K5" s="21"/>
      <c r="L5" s="21"/>
      <c r="M5" s="21">
        <f>14348+6028</f>
        <v>20376</v>
      </c>
      <c r="N5" s="21">
        <f>14662+6161</f>
        <v>20823</v>
      </c>
      <c r="O5" s="21"/>
      <c r="P5" s="21"/>
      <c r="Q5" s="5">
        <f t="shared" si="0"/>
        <v>5566793</v>
      </c>
      <c r="R5" s="21"/>
      <c r="S5" s="21">
        <f>1935+126530</f>
        <v>128465</v>
      </c>
      <c r="T5" s="21">
        <f>3094</f>
        <v>3094</v>
      </c>
      <c r="U5" s="21">
        <f>16663</f>
        <v>16663</v>
      </c>
      <c r="V5" s="21">
        <f>101877</f>
        <v>101877</v>
      </c>
      <c r="W5" s="21">
        <f>42196</f>
        <v>42196</v>
      </c>
      <c r="X5" s="21">
        <f>149052+115080</f>
        <v>264132</v>
      </c>
      <c r="Y5" s="21"/>
      <c r="Z5" s="21">
        <f>1408</f>
        <v>1408</v>
      </c>
      <c r="AA5" s="21"/>
      <c r="AB5" s="21">
        <f>17568</f>
        <v>17568</v>
      </c>
      <c r="AC5" s="21">
        <f>33264+58000+67418+9500</f>
        <v>168182</v>
      </c>
      <c r="AD5" s="21"/>
      <c r="AE5" s="21">
        <f>32679+143609+56703+87564+2611</f>
        <v>323166</v>
      </c>
      <c r="AF5" s="21">
        <f>640+1600+2380+600+160</f>
        <v>5380</v>
      </c>
      <c r="AG5" s="21"/>
      <c r="AH5" s="21"/>
      <c r="AI5" s="6">
        <f t="shared" ref="AI5:AI9" si="2">SUM(R5:AH5)</f>
        <v>1072131</v>
      </c>
      <c r="AJ5" s="4">
        <f t="shared" si="1"/>
        <v>4494662</v>
      </c>
    </row>
    <row r="6" spans="1:88" s="7" customFormat="1" ht="26.15" customHeight="1" x14ac:dyDescent="0.4">
      <c r="A6" s="2">
        <v>4</v>
      </c>
      <c r="B6" s="3">
        <v>700</v>
      </c>
      <c r="C6" s="4">
        <f>AJ5</f>
        <v>4494662</v>
      </c>
      <c r="D6" s="21">
        <f>2800</f>
        <v>2800</v>
      </c>
      <c r="E6" s="21"/>
      <c r="F6" s="21"/>
      <c r="G6" s="21"/>
      <c r="H6" s="21"/>
      <c r="I6" s="21"/>
      <c r="J6" s="21">
        <f>1200+320</f>
        <v>1520</v>
      </c>
      <c r="K6" s="21"/>
      <c r="L6" s="21"/>
      <c r="M6" s="21"/>
      <c r="N6" s="21"/>
      <c r="O6" s="21"/>
      <c r="P6" s="21"/>
      <c r="Q6" s="5">
        <f t="shared" si="0"/>
        <v>4498982</v>
      </c>
      <c r="R6" s="21"/>
      <c r="S6" s="21">
        <f>76729+273570+1119</f>
        <v>351418</v>
      </c>
      <c r="T6" s="21">
        <f>5496</f>
        <v>5496</v>
      </c>
      <c r="U6" s="21">
        <f>30496</f>
        <v>30496</v>
      </c>
      <c r="V6" s="21">
        <f>154925</f>
        <v>154925</v>
      </c>
      <c r="W6" s="21">
        <f>128553</f>
        <v>128553</v>
      </c>
      <c r="X6" s="21">
        <f>235656</f>
        <v>235656</v>
      </c>
      <c r="Y6" s="21"/>
      <c r="Z6" s="21"/>
      <c r="AA6" s="21"/>
      <c r="AB6" s="21">
        <f>14823</f>
        <v>14823</v>
      </c>
      <c r="AC6" s="21">
        <f>5742+54144</f>
        <v>59886</v>
      </c>
      <c r="AD6" s="21"/>
      <c r="AE6" s="21"/>
      <c r="AF6" s="21">
        <f>30644</f>
        <v>30644</v>
      </c>
      <c r="AG6" s="21"/>
      <c r="AH6" s="21"/>
      <c r="AI6" s="4">
        <f t="shared" si="2"/>
        <v>1011897</v>
      </c>
      <c r="AJ6" s="4">
        <f t="shared" si="1"/>
        <v>3487085</v>
      </c>
    </row>
    <row r="7" spans="1:88" s="7" customFormat="1" ht="26.15" customHeight="1" x14ac:dyDescent="0.4">
      <c r="A7" s="2">
        <v>5</v>
      </c>
      <c r="B7" s="3">
        <v>700</v>
      </c>
      <c r="C7" s="4">
        <f>AJ6</f>
        <v>3487085</v>
      </c>
      <c r="D7" s="21">
        <f>1165</f>
        <v>1165</v>
      </c>
      <c r="E7" s="21"/>
      <c r="F7" s="21">
        <f>556500</f>
        <v>556500</v>
      </c>
      <c r="G7" s="21">
        <f>120840</f>
        <v>120840</v>
      </c>
      <c r="H7" s="21">
        <f>1072500</f>
        <v>1072500</v>
      </c>
      <c r="I7" s="21">
        <f>203000</f>
        <v>203000</v>
      </c>
      <c r="J7" s="21">
        <f>400+110</f>
        <v>510</v>
      </c>
      <c r="K7" s="21"/>
      <c r="L7" s="21"/>
      <c r="M7" s="21"/>
      <c r="N7" s="21"/>
      <c r="O7" s="21"/>
      <c r="P7" s="21"/>
      <c r="Q7" s="5">
        <f t="shared" si="0"/>
        <v>5441600</v>
      </c>
      <c r="R7" s="21">
        <v>14823</v>
      </c>
      <c r="S7" s="21">
        <v>257219</v>
      </c>
      <c r="T7" s="21">
        <v>7738</v>
      </c>
      <c r="U7" s="21">
        <v>24642</v>
      </c>
      <c r="V7" s="21">
        <v>157120</v>
      </c>
      <c r="W7" s="21">
        <v>105777</v>
      </c>
      <c r="X7" s="21">
        <v>218664</v>
      </c>
      <c r="Y7" s="21"/>
      <c r="Z7" s="21"/>
      <c r="AA7" s="21">
        <v>62928</v>
      </c>
      <c r="AB7" s="21"/>
      <c r="AC7" s="21">
        <v>1814</v>
      </c>
      <c r="AD7" s="21"/>
      <c r="AE7" s="21"/>
      <c r="AF7" s="21">
        <f>1800</f>
        <v>1800</v>
      </c>
      <c r="AG7" s="21">
        <f>1531</f>
        <v>1531</v>
      </c>
      <c r="AH7" s="21"/>
      <c r="AI7" s="6">
        <f t="shared" si="2"/>
        <v>854056</v>
      </c>
      <c r="AJ7" s="4">
        <f t="shared" si="1"/>
        <v>4587544</v>
      </c>
    </row>
    <row r="8" spans="1:88" s="7" customFormat="1" ht="26.15" customHeight="1" x14ac:dyDescent="0.4">
      <c r="A8" s="2">
        <v>6</v>
      </c>
      <c r="B8" s="3">
        <v>700</v>
      </c>
      <c r="C8" s="4">
        <f>AJ7</f>
        <v>4587544</v>
      </c>
      <c r="D8" s="21">
        <f>820</f>
        <v>820</v>
      </c>
      <c r="E8" s="21"/>
      <c r="F8" s="21"/>
      <c r="G8" s="21"/>
      <c r="H8" s="21"/>
      <c r="I8" s="21"/>
      <c r="J8" s="21">
        <f>190</f>
        <v>190</v>
      </c>
      <c r="K8" s="21"/>
      <c r="L8" s="21">
        <v>1181280</v>
      </c>
      <c r="M8" s="21"/>
      <c r="N8" s="21"/>
      <c r="O8" s="21"/>
      <c r="P8" s="21">
        <f>16189</f>
        <v>16189</v>
      </c>
      <c r="Q8" s="5">
        <f t="shared" si="0"/>
        <v>5786023</v>
      </c>
      <c r="R8" s="21">
        <v>5616</v>
      </c>
      <c r="S8" s="21">
        <f>322382+290</f>
        <v>322672</v>
      </c>
      <c r="T8" s="21">
        <v>5159</v>
      </c>
      <c r="U8" s="21">
        <v>24150</v>
      </c>
      <c r="V8" s="21">
        <v>170239</v>
      </c>
      <c r="W8" s="21">
        <v>144638</v>
      </c>
      <c r="X8" s="21">
        <v>263628</v>
      </c>
      <c r="Y8" s="21">
        <f>8680</f>
        <v>8680</v>
      </c>
      <c r="Z8" s="21"/>
      <c r="AA8" s="21">
        <v>62640</v>
      </c>
      <c r="AB8" s="21"/>
      <c r="AC8" s="21"/>
      <c r="AD8" s="21"/>
      <c r="AE8" s="21"/>
      <c r="AF8" s="21">
        <f>28864+2880+10800</f>
        <v>42544</v>
      </c>
      <c r="AG8" s="21"/>
      <c r="AH8" s="21"/>
      <c r="AI8" s="6">
        <f t="shared" si="2"/>
        <v>1049966</v>
      </c>
      <c r="AJ8" s="4">
        <f t="shared" si="1"/>
        <v>4736057</v>
      </c>
    </row>
    <row r="9" spans="1:88" s="7" customFormat="1" ht="26.15" customHeight="1" x14ac:dyDescent="0.4">
      <c r="A9" s="2">
        <v>7</v>
      </c>
      <c r="B9" s="3">
        <v>700</v>
      </c>
      <c r="C9" s="4">
        <f>AJ8</f>
        <v>4736057</v>
      </c>
      <c r="D9" s="21"/>
      <c r="E9" s="21"/>
      <c r="F9" s="21"/>
      <c r="G9" s="21"/>
      <c r="H9" s="21"/>
      <c r="I9" s="21"/>
      <c r="J9" s="21"/>
      <c r="K9" s="21"/>
      <c r="L9" s="21"/>
      <c r="M9" s="21">
        <f>21195</f>
        <v>21195</v>
      </c>
      <c r="N9" s="21">
        <f>38800+137785+72190</f>
        <v>248775</v>
      </c>
      <c r="O9" s="21"/>
      <c r="P9" s="21"/>
      <c r="Q9" s="5">
        <f t="shared" si="0"/>
        <v>5006027</v>
      </c>
      <c r="R9" s="21"/>
      <c r="S9" s="21">
        <f>236952+5852</f>
        <v>242804</v>
      </c>
      <c r="T9" s="21">
        <v>5171</v>
      </c>
      <c r="U9" s="21">
        <v>22541</v>
      </c>
      <c r="V9" s="21">
        <v>131230</v>
      </c>
      <c r="W9" s="21">
        <v>108918</v>
      </c>
      <c r="X9" s="21">
        <v>198120</v>
      </c>
      <c r="Y9" s="21"/>
      <c r="Z9" s="21">
        <f>7740</f>
        <v>7740</v>
      </c>
      <c r="AA9" s="21"/>
      <c r="AB9" s="21"/>
      <c r="AC9" s="21">
        <f>1866+52848</f>
        <v>54714</v>
      </c>
      <c r="AD9" s="21"/>
      <c r="AE9" s="21"/>
      <c r="AF9" s="21">
        <f>3460</f>
        <v>3460</v>
      </c>
      <c r="AG9" s="21"/>
      <c r="AH9" s="21"/>
      <c r="AI9" s="6">
        <f t="shared" si="2"/>
        <v>774698</v>
      </c>
      <c r="AJ9" s="4">
        <f t="shared" si="1"/>
        <v>4231329</v>
      </c>
    </row>
    <row r="10" spans="1:88" s="7" customFormat="1" ht="24" customHeight="1" x14ac:dyDescent="0.4">
      <c r="A10" s="31" t="s">
        <v>16</v>
      </c>
      <c r="B10" s="41"/>
      <c r="C10" s="4"/>
      <c r="D10" s="8">
        <f>SUM(D4:D9)</f>
        <v>1426787</v>
      </c>
      <c r="E10" s="24">
        <f t="shared" ref="E10:O10" si="3">SUM(E4:E9)</f>
        <v>0</v>
      </c>
      <c r="F10" s="24">
        <f t="shared" si="3"/>
        <v>556500</v>
      </c>
      <c r="G10" s="24">
        <f t="shared" si="3"/>
        <v>120840</v>
      </c>
      <c r="H10" s="24">
        <f t="shared" si="3"/>
        <v>1072500</v>
      </c>
      <c r="I10" s="24">
        <f t="shared" si="3"/>
        <v>298200</v>
      </c>
      <c r="J10" s="24">
        <f t="shared" si="3"/>
        <v>523570</v>
      </c>
      <c r="K10" s="24">
        <f t="shared" si="3"/>
        <v>0</v>
      </c>
      <c r="L10" s="24">
        <f t="shared" si="3"/>
        <v>1181280</v>
      </c>
      <c r="M10" s="24">
        <f t="shared" si="3"/>
        <v>41571</v>
      </c>
      <c r="N10" s="24">
        <f t="shared" si="3"/>
        <v>589995</v>
      </c>
      <c r="O10" s="24">
        <f t="shared" si="3"/>
        <v>0</v>
      </c>
      <c r="P10" s="8">
        <f>SUM(P4:P9)</f>
        <v>16189</v>
      </c>
      <c r="Q10" s="8">
        <f>SUM(Q4:Q9)</f>
        <v>30667678</v>
      </c>
      <c r="R10" s="4">
        <f>SUM(R4:R9)</f>
        <v>43650</v>
      </c>
      <c r="S10" s="4">
        <f t="shared" ref="S10:AI10" si="4">SUM(S4:S9)</f>
        <v>1467361</v>
      </c>
      <c r="T10" s="4">
        <f t="shared" si="4"/>
        <v>28182</v>
      </c>
      <c r="U10" s="4">
        <f t="shared" si="4"/>
        <v>135266</v>
      </c>
      <c r="V10" s="4">
        <f t="shared" si="4"/>
        <v>817076</v>
      </c>
      <c r="W10" s="4">
        <f t="shared" si="4"/>
        <v>619676</v>
      </c>
      <c r="X10" s="4">
        <f t="shared" si="4"/>
        <v>1180200</v>
      </c>
      <c r="Y10" s="4">
        <f t="shared" si="4"/>
        <v>8680</v>
      </c>
      <c r="Z10" s="4">
        <f t="shared" si="4"/>
        <v>9148</v>
      </c>
      <c r="AA10" s="4">
        <f t="shared" si="4"/>
        <v>125568</v>
      </c>
      <c r="AB10" s="4">
        <f t="shared" si="4"/>
        <v>41571</v>
      </c>
      <c r="AC10" s="4">
        <f t="shared" si="4"/>
        <v>329524</v>
      </c>
      <c r="AD10" s="4">
        <f t="shared" si="4"/>
        <v>0</v>
      </c>
      <c r="AE10" s="4">
        <f t="shared" si="4"/>
        <v>323166</v>
      </c>
      <c r="AF10" s="4">
        <f t="shared" si="4"/>
        <v>84288</v>
      </c>
      <c r="AG10" s="4">
        <f t="shared" si="4"/>
        <v>1531</v>
      </c>
      <c r="AH10" s="4">
        <f t="shared" si="4"/>
        <v>0</v>
      </c>
      <c r="AI10" s="4">
        <f t="shared" si="4"/>
        <v>5214887</v>
      </c>
      <c r="AJ10" s="4"/>
    </row>
    <row r="11" spans="1:88" ht="35.5" customHeight="1" x14ac:dyDescent="0.4">
      <c r="A11" s="9" t="s">
        <v>17</v>
      </c>
      <c r="B11" s="31" t="s">
        <v>21</v>
      </c>
      <c r="C11" s="32"/>
      <c r="D11" s="42">
        <f>AJ9</f>
        <v>4231329</v>
      </c>
      <c r="E11" s="42"/>
      <c r="F11" s="43"/>
      <c r="G11" s="43"/>
      <c r="H11" s="43"/>
      <c r="I11" s="43"/>
      <c r="J11" s="22"/>
      <c r="K11" s="44"/>
      <c r="L11" s="44"/>
      <c r="M11" s="44"/>
      <c r="N11" s="44"/>
      <c r="O11" s="44"/>
      <c r="P11" s="44"/>
      <c r="Q11" s="19" t="s">
        <v>22</v>
      </c>
      <c r="R11" s="45" t="s">
        <v>23</v>
      </c>
      <c r="S11" s="43"/>
      <c r="T11" s="43"/>
      <c r="U11" s="43"/>
      <c r="V11" s="44"/>
      <c r="W11" s="44"/>
      <c r="X11" s="44"/>
      <c r="Y11" s="44"/>
      <c r="Z11" s="44"/>
      <c r="AA11" s="19" t="s">
        <v>22</v>
      </c>
      <c r="AB11" s="18"/>
      <c r="AC11" s="18"/>
      <c r="AD11" s="18"/>
      <c r="AE11" s="18"/>
      <c r="AF11" s="18"/>
      <c r="AG11" s="18"/>
      <c r="AH11" s="18"/>
      <c r="AI11" s="18"/>
      <c r="AJ11" s="19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s="10" customFormat="1" ht="38.25" customHeight="1" x14ac:dyDescent="0.4">
      <c r="A12" s="38" t="s">
        <v>20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</row>
    <row r="13" spans="1:88" s="10" customFormat="1" ht="22.5" customHeight="1" x14ac:dyDescent="0.4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</row>
    <row r="14" spans="1:88" s="10" customFormat="1" ht="22.5" customHeight="1" x14ac:dyDescent="0.4">
      <c r="A14" s="40" t="s">
        <v>24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</row>
    <row r="15" spans="1:88" s="10" customFormat="1" ht="22.5" customHeight="1" x14ac:dyDescent="0.4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</row>
    <row r="16" spans="1:88" ht="22.5" customHeight="1" x14ac:dyDescent="0.4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</row>
  </sheetData>
  <sheetProtection algorithmName="SHA-512" hashValue="y3l85elqui0S4SrFLQGD6Df6RYSZauZhWAP+lvIix6gLdQW05dOscSvz1YHXEk/5IqL6jyzRk7p1v9BgcKg6Rg==" saltValue="pN784IyCeBzJ6jTwW/BXKQ==" spinCount="100000" sheet="1" objects="1" scenarios="1"/>
  <protectedRanges>
    <protectedRange sqref="C4" name="範圍6"/>
    <protectedRange sqref="A1" name="範圍5"/>
    <protectedRange sqref="J11 R11" name="範圍3"/>
    <protectedRange sqref="D4:P9" name="範圍1"/>
    <protectedRange sqref="R4:AH9" name="範圍2"/>
    <protectedRange sqref="A13:AJ16" name="範圍4"/>
  </protectedRanges>
  <customSheetViews>
    <customSheetView guid="{850D74B6-5901-45D9-85CE-0EFA880AFE45}" scale="130">
      <selection activeCell="C6" sqref="C6:M11"/>
      <pageMargins left="0.11811023622047245" right="0.31496062992125984" top="0.74803149606299213" bottom="0.35433070866141736" header="0.31496062992125984" footer="0.31496062992125984"/>
      <pageSetup paperSize="9" orientation="landscape" r:id="rId1"/>
    </customSheetView>
  </customSheetViews>
  <mergeCells count="18">
    <mergeCell ref="A2:A3"/>
    <mergeCell ref="B2:B3"/>
    <mergeCell ref="C2:Q2"/>
    <mergeCell ref="R2:AI2"/>
    <mergeCell ref="A1:AJ1"/>
    <mergeCell ref="A16:AJ16"/>
    <mergeCell ref="A15:AJ15"/>
    <mergeCell ref="AJ2:AJ3"/>
    <mergeCell ref="A12:AJ12"/>
    <mergeCell ref="A13:AJ13"/>
    <mergeCell ref="A14:AJ14"/>
    <mergeCell ref="A10:B10"/>
    <mergeCell ref="B11:C11"/>
    <mergeCell ref="D11:E11"/>
    <mergeCell ref="F11:I11"/>
    <mergeCell ref="K11:P11"/>
    <mergeCell ref="R11:U11"/>
    <mergeCell ref="V11:Z11"/>
  </mergeCells>
  <phoneticPr fontId="4" type="noConversion"/>
  <conditionalFormatting sqref="C4">
    <cfRule type="cellIs" dxfId="7" priority="16" operator="equal">
      <formula>0</formula>
    </cfRule>
    <cfRule type="cellIs" priority="19" operator="greaterThanOrEqual">
      <formula>0</formula>
    </cfRule>
    <cfRule type="cellIs" dxfId="6" priority="27" operator="equal">
      <formula>0</formula>
    </cfRule>
  </conditionalFormatting>
  <conditionalFormatting sqref="C4">
    <cfRule type="cellIs" dxfId="5" priority="24" operator="equal">
      <formula>-1</formula>
    </cfRule>
    <cfRule type="cellIs" dxfId="4" priority="25" operator="equal">
      <formula>-1</formula>
    </cfRule>
  </conditionalFormatting>
  <conditionalFormatting sqref="Y1:AJ1 A1:W1">
    <cfRule type="containsText" dxfId="3" priority="20" operator="containsText" text="基隆市立(學校名稱)111學年度 第1學期 學校午餐費收支結算表-自設廚房及共廚群組學校">
      <formula>NOT(ISERROR(SEARCH("基隆市立(學校名稱)111學年度 第1學期 學校午餐費收支結算表-自設廚房及共廚群組學校",A1)))</formula>
    </cfRule>
    <cfRule type="containsText" dxfId="2" priority="21" operator="containsText" text="基隆市立     國民   學111學年度 第1學期 學校午餐費收支結算表-自設廚房及共廚群組學校">
      <formula>NOT(ISERROR(SEARCH("基隆市立     國民   學111學年度 第1學期 學校午餐費收支結算表-自設廚房及共廚群組學校",A1)))</formula>
    </cfRule>
  </conditionalFormatting>
  <conditionalFormatting sqref="X1">
    <cfRule type="containsText" dxfId="1" priority="1" operator="containsText" text="基隆市立(學校名稱)111學年度 第1學期 學校午餐費收支結算表-自設廚房及共廚群組學校">
      <formula>NOT(ISERROR(SEARCH("基隆市立(學校名稱)111學年度 第1學期 學校午餐費收支結算表-自設廚房及共廚群組學校",X1)))</formula>
    </cfRule>
    <cfRule type="containsText" dxfId="0" priority="2" operator="containsText" text="基隆市立     國民   學111學年度 第1學期 學校午餐費收支結算表-自設廚房及共廚群組學校">
      <formula>NOT(ISERROR(SEARCH("基隆市立     國民   學111學年度 第1學期 學校午餐費收支結算表-自設廚房及共廚群組學校",X1)))</formula>
    </cfRule>
  </conditionalFormatting>
  <printOptions horizontalCentered="1"/>
  <pageMargins left="0.11811023622047245" right="0.31496062992125984" top="0.55118110236220474" bottom="0.35433070866141736" header="0.31496062992125984" footer="0.31496062992125984"/>
  <pageSetup paperSize="9" scale="6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112上-自設廚房及共廚學校</vt:lpstr>
      <vt:lpstr>'112上-自設廚房及共廚學校'!Print_Area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2024-08-14T06:52:13Z</cp:lastPrinted>
  <dcterms:created xsi:type="dcterms:W3CDTF">2004-05-19T03:24:38Z</dcterms:created>
  <dcterms:modified xsi:type="dcterms:W3CDTF">2024-11-08T01:38:34Z</dcterms:modified>
</cp:coreProperties>
</file>